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Environnement-Industrie\4 ENVIRONNEMENT INDUSTRIE\4 GROUPES_DE_TRAVAIL\AIR\APC COV\Surveillance environnementale\Programme transitoire\"/>
    </mc:Choice>
  </mc:AlternateContent>
  <bookViews>
    <workbookView xWindow="0" yWindow="0" windowWidth="19320" windowHeight="12120"/>
  </bookViews>
  <sheets>
    <sheet name="Répartition des couts" sheetId="4" r:id="rId1"/>
    <sheet name="Données de base" sheetId="5" r:id="rId2"/>
  </sheets>
  <definedNames>
    <definedName name="_xlnm.Print_Area" localSheetId="1">'Données de base'!$B$3:$F$17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5" l="1"/>
  <c r="E13" i="5" s="1"/>
  <c r="E20" i="5"/>
  <c r="E19" i="5"/>
  <c r="F9" i="5" l="1"/>
  <c r="E9" i="5"/>
  <c r="E11" i="5"/>
  <c r="F13" i="5"/>
  <c r="E17" i="5"/>
  <c r="F17" i="5"/>
  <c r="E15" i="5"/>
  <c r="E23" i="5" l="1"/>
  <c r="S11" i="4"/>
  <c r="S8" i="4"/>
  <c r="S12" i="4"/>
  <c r="S28" i="4"/>
  <c r="S29" i="4"/>
  <c r="Q31" i="4" l="1"/>
  <c r="S31" i="4" s="1"/>
  <c r="S7" i="4"/>
  <c r="Q7" i="4" l="1"/>
  <c r="S23" i="4" l="1"/>
  <c r="R23" i="4"/>
  <c r="U16" i="4" l="1"/>
  <c r="S20" i="4" l="1"/>
  <c r="S14" i="4"/>
  <c r="Q23" i="4"/>
  <c r="Q22" i="4"/>
  <c r="Q21" i="4"/>
  <c r="Q20" i="4"/>
  <c r="Q19" i="4"/>
  <c r="Q18" i="4"/>
  <c r="Q17" i="4"/>
  <c r="Q16" i="4"/>
  <c r="Q15" i="4"/>
  <c r="Q14" i="4"/>
  <c r="U22" i="4" l="1"/>
  <c r="U20" i="4"/>
  <c r="U17" i="4"/>
  <c r="U23" i="4"/>
  <c r="S22" i="4"/>
  <c r="S21" i="4"/>
  <c r="T21" i="4" s="1"/>
  <c r="T20" i="4"/>
  <c r="S19" i="4"/>
  <c r="T19" i="4" s="1"/>
  <c r="S18" i="4"/>
  <c r="T18" i="4" s="1"/>
  <c r="S17" i="4"/>
  <c r="T17" i="4" s="1"/>
  <c r="S16" i="4"/>
  <c r="S15" i="4"/>
  <c r="R7" i="4"/>
  <c r="U27" i="4"/>
  <c r="S27" i="4"/>
  <c r="U7" i="4"/>
  <c r="T7" i="4"/>
  <c r="Q29" i="4"/>
  <c r="Q28" i="4"/>
  <c r="R25" i="4"/>
  <c r="R26" i="4"/>
  <c r="R27" i="4"/>
  <c r="R24" i="4"/>
  <c r="Q24" i="4"/>
  <c r="Q25" i="4"/>
  <c r="Q26" i="4"/>
  <c r="Q27" i="4"/>
  <c r="R22" i="4"/>
  <c r="R20" i="4"/>
  <c r="R17" i="4"/>
  <c r="R16" i="4"/>
  <c r="Q9" i="4"/>
  <c r="Q12" i="4"/>
  <c r="Q13" i="4"/>
  <c r="Q10" i="4"/>
  <c r="Q11" i="4"/>
  <c r="Q8" i="4"/>
  <c r="T29" i="4" l="1"/>
  <c r="T28" i="4"/>
  <c r="P33" i="4" s="1"/>
  <c r="U24" i="4"/>
  <c r="V24" i="4" s="1"/>
  <c r="S24" i="4"/>
  <c r="T24" i="4" s="1"/>
  <c r="S25" i="4"/>
  <c r="T25" i="4" s="1"/>
  <c r="U25" i="4"/>
  <c r="V25" i="4" s="1"/>
  <c r="N33" i="4" s="1"/>
  <c r="S26" i="4"/>
  <c r="T26" i="4" s="1"/>
  <c r="U26" i="4"/>
  <c r="V26" i="4" s="1"/>
  <c r="T16" i="4"/>
  <c r="T15" i="4"/>
  <c r="V16" i="4"/>
  <c r="T23" i="4"/>
  <c r="V17" i="4"/>
  <c r="V23" i="4"/>
  <c r="T27" i="4"/>
  <c r="V27" i="4"/>
  <c r="T22" i="4"/>
  <c r="V22" i="4"/>
  <c r="V20" i="4"/>
  <c r="T14" i="4"/>
  <c r="V7" i="4"/>
  <c r="I33" i="4" l="1"/>
  <c r="J33" i="4"/>
  <c r="O33" i="4"/>
  <c r="H33" i="4"/>
  <c r="S13" i="4"/>
  <c r="T13" i="4" s="1"/>
  <c r="T8" i="4"/>
  <c r="S10" i="4"/>
  <c r="T10" i="4" s="1"/>
  <c r="T12" i="4"/>
  <c r="S9" i="4"/>
  <c r="T9" i="4" s="1"/>
  <c r="T11" i="4"/>
  <c r="K33" i="4" l="1"/>
  <c r="M33" i="4"/>
  <c r="L33" i="4"/>
</calcChain>
</file>

<file path=xl/sharedStrings.xml><?xml version="1.0" encoding="utf-8"?>
<sst xmlns="http://schemas.openxmlformats.org/spreadsheetml/2006/main" count="118" uniqueCount="77">
  <si>
    <t>Fos Carabins</t>
  </si>
  <si>
    <t>Martigues Laurons</t>
  </si>
  <si>
    <t>Sausset les Pins</t>
  </si>
  <si>
    <t>PETROINEOS Lavéra</t>
  </si>
  <si>
    <t>Benzène</t>
  </si>
  <si>
    <t>KEMONE Lavéra</t>
  </si>
  <si>
    <t>NAPHTACHIMIE Lavéra</t>
  </si>
  <si>
    <t>KEMONE Fos</t>
  </si>
  <si>
    <t>ESSO Fos</t>
  </si>
  <si>
    <t>ARCELORMITTAL Fos</t>
  </si>
  <si>
    <t>LYONDELL BASELL Berre</t>
  </si>
  <si>
    <t>TOTAL La Mède</t>
  </si>
  <si>
    <t>ARKEMA Marseille</t>
  </si>
  <si>
    <t>Témoin</t>
  </si>
  <si>
    <t>DCE</t>
  </si>
  <si>
    <t>ZONES</t>
  </si>
  <si>
    <t>Site</t>
  </si>
  <si>
    <t>Mesures automatiques</t>
  </si>
  <si>
    <t>Surveillance mutualisée Tubes Passifs</t>
  </si>
  <si>
    <t>X</t>
  </si>
  <si>
    <t>1.3But</t>
  </si>
  <si>
    <t>Salon</t>
  </si>
  <si>
    <t>Fos terminal containers</t>
  </si>
  <si>
    <t>Port Saint Louis</t>
  </si>
  <si>
    <t>Chateauneuf La Mede</t>
  </si>
  <si>
    <t>Martigues  Couronne</t>
  </si>
  <si>
    <t>Martigues Rénaïres</t>
  </si>
  <si>
    <t>Quartier Pati</t>
  </si>
  <si>
    <t>Saint Julien les martigues</t>
  </si>
  <si>
    <t>Saint Pierre les Martigues</t>
  </si>
  <si>
    <t>Martigues Lavera</t>
  </si>
  <si>
    <t>Port de Bouc Lecques</t>
  </si>
  <si>
    <t>(X)</t>
  </si>
  <si>
    <t>BERRE (4 sites)</t>
  </si>
  <si>
    <t>Rognac ville</t>
  </si>
  <si>
    <t>Saint Esteve</t>
  </si>
  <si>
    <t>Berre l'Etang</t>
  </si>
  <si>
    <t>Rognac Barjaquets</t>
  </si>
  <si>
    <t>Marseille (3 sites)</t>
  </si>
  <si>
    <t>Site Témoin Penne-sur-Huveaune</t>
  </si>
  <si>
    <t>La Penne-sur-Huveaune</t>
  </si>
  <si>
    <t>Témoin SALON</t>
  </si>
  <si>
    <t>Zone FOS (6 sites)</t>
  </si>
  <si>
    <t>Zone Berre (4 sites)</t>
  </si>
  <si>
    <t>LAVERA (10 sites)</t>
  </si>
  <si>
    <t>FOS (6 sites)</t>
  </si>
  <si>
    <t xml:space="preserve">Nombre de beneficiaires </t>
  </si>
  <si>
    <t>Mesure DCE ou/et benzène</t>
  </si>
  <si>
    <t>Mesure butadiène</t>
  </si>
  <si>
    <t>Benzene/DCE</t>
  </si>
  <si>
    <t>Cout individuel benzène DCE</t>
  </si>
  <si>
    <t>Butadiène</t>
  </si>
  <si>
    <t>Cout individuel Butadiène</t>
  </si>
  <si>
    <t>Cout surveillance mutualisée 
ATMOSUD</t>
  </si>
  <si>
    <t>ATMOSUD</t>
  </si>
  <si>
    <t>Autres charges</t>
  </si>
  <si>
    <t>Nb points prélèvement</t>
  </si>
  <si>
    <t>Zone LAVERA (10 sites)</t>
  </si>
  <si>
    <t>Zone Marseille (2 sites)</t>
  </si>
  <si>
    <r>
      <t xml:space="preserve">X </t>
    </r>
    <r>
      <rPr>
        <i/>
        <sz val="8"/>
        <color rgb="FFFF0000"/>
        <rFont val="Calibri"/>
        <family val="2"/>
        <scheme val="minor"/>
      </rPr>
      <t>+ doublet*</t>
    </r>
  </si>
  <si>
    <r>
      <t>X</t>
    </r>
    <r>
      <rPr>
        <i/>
        <sz val="8"/>
        <color rgb="FFFF0000"/>
        <rFont val="Calibri"/>
        <family val="2"/>
        <scheme val="minor"/>
      </rPr>
      <t xml:space="preserve"> + doublet*</t>
    </r>
  </si>
  <si>
    <t>*Répliquats de tubes passifs ajoutés pour des raisons de contrôle qualité</t>
  </si>
  <si>
    <t>Autres dépenses (rapports+répliquats)</t>
  </si>
  <si>
    <t>Rapports + répliquats</t>
  </si>
  <si>
    <t>Fos Cavaou **</t>
  </si>
  <si>
    <t>Entrée Arcelor **</t>
  </si>
  <si>
    <t>Plage de Cavaou **</t>
  </si>
  <si>
    <t>Château St Antoine **</t>
  </si>
  <si>
    <t>** voir onglet "données de base"</t>
  </si>
  <si>
    <t>Total mesures 1,3 BUTA</t>
  </si>
  <si>
    <t>Total mesures
 DCE BTEX</t>
  </si>
  <si>
    <t>Transversal = Déplacement+blancs</t>
  </si>
  <si>
    <t xml:space="preserve">TOTAL </t>
  </si>
  <si>
    <t xml:space="preserve">CONTRIBUTIONS INDIVIDUELLES AU PROGRAMME MUTUALISE </t>
  </si>
  <si>
    <t>Remise sur les mesure du benzene en 4 points (marqués ** dans l'onglet précédent) et pour 4 des 8 campagnes. Couts déjà pris en charge par ATMOSUD pour l'année 2019 dans le cadre de programmes antérieurs.</t>
  </si>
  <si>
    <t>Tableau de chiffrage détaillé par zones</t>
  </si>
  <si>
    <t>CLE DE REPARTITION ENTRE INDUSTRIELS DES COUTS DES MESURES DU PROGRAMME TRANSITOIRE - OPERATEUR ATMOSUD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</si>
</sst>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-* #,##0\ [$€-40C]_-;\-* #,##0\ [$€-40C]_-;_-* &quot;-&quot;??\ [$€-40C]_-;_-@_-"/>
    <numFmt numFmtId="165" formatCode="_-* #,##0\ &quot;€&quot;_-;\-* #,##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theme="4"/>
      <name val="Calibri"/>
      <family val="2"/>
      <scheme val="minor"/>
    </font>
    <font>
      <sz val="10"/>
      <name val="Calibri"/>
      <family val="2"/>
      <scheme val="minor"/>
    </font>
    <font>
      <i/>
      <sz val="8"/>
      <color rgb="FFFF0000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2">
    <xf numFmtId="0" fontId="0" fillId="0" borderId="0" xfId="0"/>
    <xf numFmtId="0" fontId="2" fillId="0" borderId="0" xfId="0" applyFont="1"/>
    <xf numFmtId="0" fontId="0" fillId="0" borderId="4" xfId="0" applyBorder="1"/>
    <xf numFmtId="0" fontId="0" fillId="0" borderId="0" xfId="0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8" fillId="0" borderId="12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0" fillId="0" borderId="17" xfId="0" applyBorder="1"/>
    <xf numFmtId="0" fontId="0" fillId="0" borderId="20" xfId="0" applyBorder="1"/>
    <xf numFmtId="0" fontId="0" fillId="0" borderId="18" xfId="0" applyBorder="1"/>
    <xf numFmtId="0" fontId="0" fillId="0" borderId="5" xfId="0" applyBorder="1"/>
    <xf numFmtId="0" fontId="0" fillId="0" borderId="19" xfId="0" applyBorder="1"/>
    <xf numFmtId="164" fontId="0" fillId="0" borderId="9" xfId="0" applyNumberFormat="1" applyBorder="1"/>
    <xf numFmtId="164" fontId="0" fillId="0" borderId="4" xfId="0" applyNumberFormat="1" applyBorder="1"/>
    <xf numFmtId="164" fontId="0" fillId="0" borderId="11" xfId="0" applyNumberFormat="1" applyBorder="1"/>
    <xf numFmtId="1" fontId="0" fillId="0" borderId="4" xfId="0" applyNumberFormat="1" applyBorder="1"/>
    <xf numFmtId="0" fontId="0" fillId="0" borderId="4" xfId="0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4" fillId="0" borderId="0" xfId="0" applyFont="1"/>
    <xf numFmtId="164" fontId="4" fillId="0" borderId="4" xfId="0" applyNumberFormat="1" applyFont="1" applyBorder="1"/>
    <xf numFmtId="164" fontId="4" fillId="0" borderId="12" xfId="0" applyNumberFormat="1" applyFont="1" applyBorder="1"/>
    <xf numFmtId="164" fontId="4" fillId="0" borderId="10" xfId="0" applyNumberFormat="1" applyFont="1" applyBorder="1"/>
    <xf numFmtId="164" fontId="0" fillId="0" borderId="0" xfId="0" applyNumberFormat="1"/>
    <xf numFmtId="0" fontId="8" fillId="0" borderId="0" xfId="0" applyFont="1" applyBorder="1" applyAlignment="1">
      <alignment horizontal="center" vertical="center" wrapText="1"/>
    </xf>
    <xf numFmtId="164" fontId="0" fillId="0" borderId="0" xfId="0" applyNumberFormat="1" applyBorder="1"/>
    <xf numFmtId="1" fontId="0" fillId="0" borderId="0" xfId="0" applyNumberFormat="1" applyBorder="1"/>
    <xf numFmtId="164" fontId="4" fillId="0" borderId="0" xfId="0" applyNumberFormat="1" applyFont="1" applyBorder="1"/>
    <xf numFmtId="164" fontId="0" fillId="0" borderId="0" xfId="0" applyNumberFormat="1" applyFill="1" applyBorder="1"/>
    <xf numFmtId="1" fontId="0" fillId="0" borderId="0" xfId="0" applyNumberFormat="1" applyFill="1" applyBorder="1"/>
    <xf numFmtId="164" fontId="4" fillId="0" borderId="0" xfId="0" applyNumberFormat="1" applyFont="1" applyFill="1" applyBorder="1"/>
    <xf numFmtId="0" fontId="9" fillId="0" borderId="0" xfId="0" applyFont="1"/>
    <xf numFmtId="0" fontId="10" fillId="0" borderId="7" xfId="0" applyFont="1" applyBorder="1" applyAlignment="1">
      <alignment horizontal="center" vertical="center" wrapText="1"/>
    </xf>
    <xf numFmtId="0" fontId="1" fillId="0" borderId="7" xfId="0" applyFont="1" applyBorder="1"/>
    <xf numFmtId="0" fontId="10" fillId="0" borderId="4" xfId="0" applyFont="1" applyBorder="1" applyAlignment="1">
      <alignment horizontal="center" vertical="center" wrapText="1"/>
    </xf>
    <xf numFmtId="0" fontId="1" fillId="0" borderId="4" xfId="0" applyFont="1" applyBorder="1"/>
    <xf numFmtId="0" fontId="10" fillId="0" borderId="12" xfId="0" applyFont="1" applyBorder="1" applyAlignment="1">
      <alignment horizontal="center" vertical="center" wrapText="1"/>
    </xf>
    <xf numFmtId="0" fontId="1" fillId="0" borderId="12" xfId="0" applyFont="1" applyBorder="1"/>
    <xf numFmtId="0" fontId="11" fillId="0" borderId="4" xfId="0" applyFont="1" applyBorder="1" applyAlignment="1">
      <alignment horizontal="center" vertical="center" wrapText="1"/>
    </xf>
    <xf numFmtId="164" fontId="0" fillId="0" borderId="24" xfId="0" applyNumberFormat="1" applyBorder="1"/>
    <xf numFmtId="164" fontId="4" fillId="0" borderId="25" xfId="0" applyNumberFormat="1" applyFont="1" applyBorder="1"/>
    <xf numFmtId="164" fontId="0" fillId="0" borderId="21" xfId="0" applyNumberFormat="1" applyBorder="1"/>
    <xf numFmtId="164" fontId="4" fillId="0" borderId="22" xfId="0" applyNumberFormat="1" applyFont="1" applyBorder="1"/>
    <xf numFmtId="164" fontId="0" fillId="0" borderId="25" xfId="0" applyNumberFormat="1" applyBorder="1"/>
    <xf numFmtId="164" fontId="4" fillId="0" borderId="26" xfId="0" applyNumberFormat="1" applyFont="1" applyBorder="1"/>
    <xf numFmtId="164" fontId="0" fillId="0" borderId="6" xfId="0" applyNumberFormat="1" applyBorder="1"/>
    <xf numFmtId="1" fontId="0" fillId="0" borderId="7" xfId="0" applyNumberFormat="1" applyBorder="1"/>
    <xf numFmtId="164" fontId="4" fillId="0" borderId="7" xfId="0" applyNumberFormat="1" applyFont="1" applyBorder="1"/>
    <xf numFmtId="164" fontId="0" fillId="0" borderId="12" xfId="0" applyNumberFormat="1" applyBorder="1"/>
    <xf numFmtId="164" fontId="0" fillId="0" borderId="22" xfId="0" applyNumberFormat="1" applyBorder="1"/>
    <xf numFmtId="164" fontId="4" fillId="0" borderId="23" xfId="0" applyNumberFormat="1" applyFont="1" applyBorder="1"/>
    <xf numFmtId="1" fontId="0" fillId="0" borderId="6" xfId="0" applyNumberFormat="1" applyBorder="1"/>
    <xf numFmtId="1" fontId="0" fillId="0" borderId="9" xfId="0" applyNumberFormat="1" applyBorder="1"/>
    <xf numFmtId="1" fontId="0" fillId="0" borderId="11" xfId="0" applyNumberFormat="1" applyBorder="1"/>
    <xf numFmtId="1" fontId="0" fillId="0" borderId="10" xfId="0" applyNumberFormat="1" applyBorder="1"/>
    <xf numFmtId="1" fontId="0" fillId="0" borderId="13" xfId="0" applyNumberFormat="1" applyBorder="1"/>
    <xf numFmtId="1" fontId="0" fillId="0" borderId="8" xfId="0" applyNumberFormat="1" applyBorder="1"/>
    <xf numFmtId="1" fontId="0" fillId="0" borderId="27" xfId="0" applyNumberFormat="1" applyBorder="1"/>
    <xf numFmtId="1" fontId="0" fillId="0" borderId="15" xfId="0" applyNumberFormat="1" applyBorder="1"/>
    <xf numFmtId="0" fontId="8" fillId="0" borderId="22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0" fillId="0" borderId="22" xfId="0" applyBorder="1"/>
    <xf numFmtId="0" fontId="0" fillId="0" borderId="23" xfId="0" applyBorder="1"/>
    <xf numFmtId="1" fontId="0" fillId="0" borderId="22" xfId="0" applyNumberFormat="1" applyBorder="1"/>
    <xf numFmtId="0" fontId="11" fillId="0" borderId="0" xfId="0" applyFont="1" applyBorder="1" applyAlignment="1">
      <alignment horizontal="left" vertical="center"/>
    </xf>
    <xf numFmtId="164" fontId="2" fillId="4" borderId="30" xfId="0" applyNumberFormat="1" applyFont="1" applyFill="1" applyBorder="1"/>
    <xf numFmtId="164" fontId="2" fillId="4" borderId="31" xfId="0" applyNumberFormat="1" applyFont="1" applyFill="1" applyBorder="1"/>
    <xf numFmtId="164" fontId="0" fillId="8" borderId="7" xfId="0" applyNumberFormat="1" applyFill="1" applyBorder="1"/>
    <xf numFmtId="164" fontId="4" fillId="8" borderId="8" xfId="0" applyNumberFormat="1" applyFont="1" applyFill="1" applyBorder="1"/>
    <xf numFmtId="164" fontId="0" fillId="8" borderId="4" xfId="0" applyNumberFormat="1" applyFill="1" applyBorder="1"/>
    <xf numFmtId="164" fontId="4" fillId="8" borderId="10" xfId="0" applyNumberFormat="1" applyFont="1" applyFill="1" applyBorder="1"/>
    <xf numFmtId="164" fontId="0" fillId="8" borderId="22" xfId="0" applyNumberFormat="1" applyFill="1" applyBorder="1"/>
    <xf numFmtId="164" fontId="4" fillId="8" borderId="23" xfId="0" applyNumberFormat="1" applyFont="1" applyFill="1" applyBorder="1"/>
    <xf numFmtId="1" fontId="0" fillId="8" borderId="7" xfId="0" applyNumberFormat="1" applyFill="1" applyBorder="1"/>
    <xf numFmtId="1" fontId="0" fillId="8" borderId="4" xfId="0" applyNumberFormat="1" applyFill="1" applyBorder="1"/>
    <xf numFmtId="1" fontId="0" fillId="8" borderId="22" xfId="0" applyNumberFormat="1" applyFill="1" applyBorder="1"/>
    <xf numFmtId="1" fontId="0" fillId="8" borderId="10" xfId="0" applyNumberFormat="1" applyFill="1" applyBorder="1"/>
    <xf numFmtId="1" fontId="0" fillId="8" borderId="8" xfId="0" applyNumberFormat="1" applyFill="1" applyBorder="1"/>
    <xf numFmtId="0" fontId="8" fillId="0" borderId="27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1" fontId="0" fillId="0" borderId="3" xfId="0" applyNumberFormat="1" applyBorder="1" applyAlignment="1"/>
    <xf numFmtId="1" fontId="0" fillId="0" borderId="2" xfId="0" applyNumberFormat="1" applyBorder="1" applyAlignment="1"/>
    <xf numFmtId="0" fontId="14" fillId="0" borderId="0" xfId="0" applyFont="1" applyBorder="1" applyAlignment="1">
      <alignment horizontal="center" vertical="center" wrapText="1"/>
    </xf>
    <xf numFmtId="0" fontId="13" fillId="0" borderId="0" xfId="0" applyFont="1"/>
    <xf numFmtId="164" fontId="13" fillId="0" borderId="0" xfId="1" applyNumberFormat="1" applyFont="1"/>
    <xf numFmtId="164" fontId="13" fillId="0" borderId="0" xfId="0" applyNumberFormat="1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vertical="center"/>
    </xf>
    <xf numFmtId="1" fontId="0" fillId="0" borderId="4" xfId="1" applyNumberFormat="1" applyFont="1" applyBorder="1" applyAlignment="1">
      <alignment vertical="center"/>
    </xf>
    <xf numFmtId="165" fontId="0" fillId="4" borderId="4" xfId="1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" fontId="0" fillId="3" borderId="4" xfId="1" applyNumberFormat="1" applyFont="1" applyFill="1" applyBorder="1" applyAlignment="1">
      <alignment vertical="center"/>
    </xf>
    <xf numFmtId="165" fontId="0" fillId="3" borderId="4" xfId="1" applyNumberFormat="1" applyFont="1" applyFill="1" applyBorder="1" applyAlignment="1">
      <alignment horizontal="center" vertical="center"/>
    </xf>
    <xf numFmtId="165" fontId="0" fillId="0" borderId="22" xfId="0" applyNumberFormat="1" applyBorder="1" applyAlignment="1">
      <alignment horizontal="center" vertical="center"/>
    </xf>
    <xf numFmtId="165" fontId="12" fillId="0" borderId="4" xfId="1" applyNumberFormat="1" applyFont="1" applyFill="1" applyBorder="1" applyAlignment="1">
      <alignment horizontal="center" vertical="center"/>
    </xf>
    <xf numFmtId="164" fontId="4" fillId="0" borderId="13" xfId="0" applyNumberFormat="1" applyFont="1" applyBorder="1"/>
    <xf numFmtId="164" fontId="0" fillId="8" borderId="12" xfId="0" applyNumberFormat="1" applyFill="1" applyBorder="1"/>
    <xf numFmtId="164" fontId="4" fillId="8" borderId="13" xfId="0" applyNumberFormat="1" applyFont="1" applyFill="1" applyBorder="1"/>
    <xf numFmtId="164" fontId="0" fillId="0" borderId="33" xfId="0" applyNumberFormat="1" applyBorder="1"/>
    <xf numFmtId="164" fontId="4" fillId="0" borderId="30" xfId="0" applyNumberFormat="1" applyFont="1" applyBorder="1"/>
    <xf numFmtId="164" fontId="0" fillId="0" borderId="30" xfId="0" applyNumberFormat="1" applyBorder="1"/>
    <xf numFmtId="164" fontId="4" fillId="0" borderId="31" xfId="0" applyNumberFormat="1" applyFont="1" applyBorder="1"/>
    <xf numFmtId="1" fontId="0" fillId="8" borderId="18" xfId="0" applyNumberFormat="1" applyFill="1" applyBorder="1"/>
    <xf numFmtId="1" fontId="0" fillId="8" borderId="5" xfId="0" applyNumberFormat="1" applyFill="1" applyBorder="1"/>
    <xf numFmtId="1" fontId="0" fillId="8" borderId="19" xfId="0" applyNumberFormat="1" applyFill="1" applyBorder="1"/>
    <xf numFmtId="0" fontId="10" fillId="0" borderId="17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textRotation="90" wrapText="1"/>
    </xf>
    <xf numFmtId="0" fontId="4" fillId="2" borderId="13" xfId="0" applyFont="1" applyFill="1" applyBorder="1" applyAlignment="1">
      <alignment horizontal="center" textRotation="90" wrapText="1"/>
    </xf>
    <xf numFmtId="0" fontId="4" fillId="2" borderId="4" xfId="0" applyFont="1" applyFill="1" applyBorder="1" applyAlignment="1">
      <alignment horizontal="center" textRotation="90" wrapText="1"/>
    </xf>
    <xf numFmtId="0" fontId="4" fillId="2" borderId="12" xfId="0" applyFont="1" applyFill="1" applyBorder="1" applyAlignment="1">
      <alignment horizontal="center" textRotation="90" wrapText="1"/>
    </xf>
    <xf numFmtId="0" fontId="0" fillId="2" borderId="4" xfId="0" applyFill="1" applyBorder="1" applyAlignment="1">
      <alignment horizontal="center" textRotation="90" wrapText="1"/>
    </xf>
    <xf numFmtId="0" fontId="0" fillId="2" borderId="12" xfId="0" applyFill="1" applyBorder="1" applyAlignment="1">
      <alignment horizontal="center" textRotation="90" wrapText="1"/>
    </xf>
    <xf numFmtId="0" fontId="0" fillId="2" borderId="10" xfId="0" applyFill="1" applyBorder="1" applyAlignment="1">
      <alignment horizontal="center" textRotation="90" wrapText="1"/>
    </xf>
    <xf numFmtId="0" fontId="0" fillId="2" borderId="13" xfId="0" applyFill="1" applyBorder="1" applyAlignment="1">
      <alignment horizontal="center" textRotation="90" wrapText="1"/>
    </xf>
    <xf numFmtId="164" fontId="0" fillId="0" borderId="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5" fillId="6" borderId="29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0" fillId="7" borderId="7" xfId="0" applyFill="1" applyBorder="1" applyAlignment="1">
      <alignment horizontal="center" textRotation="90" wrapText="1"/>
    </xf>
    <xf numFmtId="0" fontId="0" fillId="7" borderId="4" xfId="0" applyFill="1" applyBorder="1" applyAlignment="1">
      <alignment horizontal="center" textRotation="90" wrapText="1"/>
    </xf>
    <xf numFmtId="0" fontId="0" fillId="7" borderId="12" xfId="0" applyFill="1" applyBorder="1" applyAlignment="1">
      <alignment horizontal="center" textRotation="90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0" fillId="7" borderId="18" xfId="0" applyFill="1" applyBorder="1" applyAlignment="1">
      <alignment horizontal="center" textRotation="90" wrapText="1"/>
    </xf>
    <xf numFmtId="0" fontId="0" fillId="7" borderId="5" xfId="0" applyFill="1" applyBorder="1" applyAlignment="1">
      <alignment horizontal="center" textRotation="90" wrapText="1"/>
    </xf>
    <xf numFmtId="0" fontId="0" fillId="7" borderId="19" xfId="0" applyFill="1" applyBorder="1" applyAlignment="1">
      <alignment horizontal="center" textRotation="90" wrapText="1"/>
    </xf>
    <xf numFmtId="0" fontId="0" fillId="2" borderId="9" xfId="0" applyFill="1" applyBorder="1" applyAlignment="1">
      <alignment horizontal="center" textRotation="90" wrapText="1"/>
    </xf>
    <xf numFmtId="0" fontId="0" fillId="2" borderId="11" xfId="0" applyFill="1" applyBorder="1" applyAlignment="1">
      <alignment horizontal="center" textRotation="90" wrapText="1"/>
    </xf>
    <xf numFmtId="0" fontId="0" fillId="0" borderId="4" xfId="0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1" fontId="0" fillId="0" borderId="32" xfId="0" applyNumberForma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0" fillId="0" borderId="32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28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left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"/>
  <sheetViews>
    <sheetView tabSelected="1" workbookViewId="0">
      <selection activeCell="K3" sqref="K3"/>
    </sheetView>
  </sheetViews>
  <sheetFormatPr baseColWidth="10" defaultRowHeight="15" x14ac:dyDescent="0.25"/>
  <cols>
    <col min="2" max="2" width="17.7109375" customWidth="1"/>
    <col min="3" max="3" width="25.42578125" customWidth="1"/>
    <col min="4" max="4" width="11.140625" bestFit="1" customWidth="1"/>
    <col min="5" max="6" width="9.7109375" customWidth="1"/>
    <col min="7" max="7" width="10.28515625" bestFit="1" customWidth="1"/>
    <col min="8" max="16" width="11.85546875" bestFit="1" customWidth="1"/>
    <col min="17" max="17" width="9.85546875" bestFit="1" customWidth="1"/>
    <col min="18" max="18" width="7.140625" customWidth="1"/>
    <col min="19" max="19" width="12.28515625" bestFit="1" customWidth="1"/>
    <col min="20" max="20" width="9.28515625" bestFit="1" customWidth="1"/>
    <col min="21" max="21" width="12.28515625" bestFit="1" customWidth="1"/>
    <col min="22" max="22" width="8.28515625" style="22" bestFit="1" customWidth="1"/>
  </cols>
  <sheetData>
    <row r="1" spans="2:22" ht="7.5" customHeight="1" x14ac:dyDescent="0.25"/>
    <row r="2" spans="2:22" ht="19.5" thickBot="1" x14ac:dyDescent="0.35">
      <c r="C2" s="34" t="s">
        <v>76</v>
      </c>
    </row>
    <row r="3" spans="2:22" ht="29.25" customHeight="1" thickBot="1" x14ac:dyDescent="0.3">
      <c r="Q3" s="114" t="s">
        <v>46</v>
      </c>
      <c r="R3" s="115"/>
      <c r="S3" s="114" t="s">
        <v>53</v>
      </c>
      <c r="T3" s="116"/>
      <c r="U3" s="116"/>
      <c r="V3" s="115"/>
    </row>
    <row r="4" spans="2:22" ht="82.5" customHeight="1" x14ac:dyDescent="0.25">
      <c r="B4" s="138" t="s">
        <v>15</v>
      </c>
      <c r="C4" s="141" t="s">
        <v>16</v>
      </c>
      <c r="D4" s="141" t="s">
        <v>17</v>
      </c>
      <c r="E4" s="141" t="s">
        <v>18</v>
      </c>
      <c r="F4" s="141"/>
      <c r="G4" s="141"/>
      <c r="H4" s="132" t="s">
        <v>3</v>
      </c>
      <c r="I4" s="132" t="s">
        <v>5</v>
      </c>
      <c r="J4" s="132" t="s">
        <v>6</v>
      </c>
      <c r="K4" s="132" t="s">
        <v>7</v>
      </c>
      <c r="L4" s="132" t="s">
        <v>8</v>
      </c>
      <c r="M4" s="132" t="s">
        <v>9</v>
      </c>
      <c r="N4" s="132" t="s">
        <v>10</v>
      </c>
      <c r="O4" s="132" t="s">
        <v>11</v>
      </c>
      <c r="P4" s="144" t="s">
        <v>12</v>
      </c>
      <c r="Q4" s="147" t="s">
        <v>47</v>
      </c>
      <c r="R4" s="123" t="s">
        <v>48</v>
      </c>
      <c r="S4" s="147" t="s">
        <v>49</v>
      </c>
      <c r="T4" s="119" t="s">
        <v>50</v>
      </c>
      <c r="U4" s="121" t="s">
        <v>51</v>
      </c>
      <c r="V4" s="117" t="s">
        <v>52</v>
      </c>
    </row>
    <row r="5" spans="2:22" ht="15" customHeight="1" x14ac:dyDescent="0.25">
      <c r="B5" s="139"/>
      <c r="C5" s="142"/>
      <c r="D5" s="142"/>
      <c r="E5" s="135" t="s">
        <v>4</v>
      </c>
      <c r="F5" s="135" t="s">
        <v>20</v>
      </c>
      <c r="G5" s="135" t="s">
        <v>14</v>
      </c>
      <c r="H5" s="133"/>
      <c r="I5" s="133"/>
      <c r="J5" s="133"/>
      <c r="K5" s="133"/>
      <c r="L5" s="133"/>
      <c r="M5" s="133"/>
      <c r="N5" s="133"/>
      <c r="O5" s="133"/>
      <c r="P5" s="145"/>
      <c r="Q5" s="147"/>
      <c r="R5" s="123"/>
      <c r="S5" s="147"/>
      <c r="T5" s="119"/>
      <c r="U5" s="121"/>
      <c r="V5" s="117"/>
    </row>
    <row r="6" spans="2:22" ht="15.75" customHeight="1" thickBot="1" x14ac:dyDescent="0.3">
      <c r="B6" s="140"/>
      <c r="C6" s="143"/>
      <c r="D6" s="143"/>
      <c r="E6" s="136"/>
      <c r="F6" s="136"/>
      <c r="G6" s="136"/>
      <c r="H6" s="134"/>
      <c r="I6" s="134"/>
      <c r="J6" s="134"/>
      <c r="K6" s="134"/>
      <c r="L6" s="134"/>
      <c r="M6" s="134"/>
      <c r="N6" s="134"/>
      <c r="O6" s="134"/>
      <c r="P6" s="146"/>
      <c r="Q6" s="148"/>
      <c r="R6" s="124"/>
      <c r="S6" s="148"/>
      <c r="T6" s="120"/>
      <c r="U6" s="122"/>
      <c r="V6" s="118"/>
    </row>
    <row r="7" spans="2:22" ht="15.75" thickBot="1" x14ac:dyDescent="0.3">
      <c r="B7" s="9" t="s">
        <v>13</v>
      </c>
      <c r="C7" s="10" t="s">
        <v>21</v>
      </c>
      <c r="D7" s="10"/>
      <c r="E7" s="10" t="s">
        <v>59</v>
      </c>
      <c r="F7" s="10" t="s">
        <v>59</v>
      </c>
      <c r="G7" s="10" t="s">
        <v>59</v>
      </c>
      <c r="H7" s="11">
        <v>1</v>
      </c>
      <c r="I7" s="11">
        <v>1</v>
      </c>
      <c r="J7" s="11">
        <v>1</v>
      </c>
      <c r="K7" s="11">
        <v>1</v>
      </c>
      <c r="L7" s="11">
        <v>1</v>
      </c>
      <c r="M7" s="11">
        <v>1</v>
      </c>
      <c r="N7" s="11">
        <v>1</v>
      </c>
      <c r="O7" s="11">
        <v>1</v>
      </c>
      <c r="P7" s="12"/>
      <c r="Q7" s="60">
        <f t="shared" ref="Q7:Q31" si="0">SUM(H7:P7)</f>
        <v>8</v>
      </c>
      <c r="R7" s="61">
        <f>N7+J7</f>
        <v>2</v>
      </c>
      <c r="S7" s="106">
        <f>'Données de base'!E9</f>
        <v>2952.5</v>
      </c>
      <c r="T7" s="107">
        <f>S7/Q7</f>
        <v>369.0625</v>
      </c>
      <c r="U7" s="108">
        <f>'Données de base'!F9</f>
        <v>2632.5</v>
      </c>
      <c r="V7" s="109">
        <f>U7/R7</f>
        <v>1316.25</v>
      </c>
    </row>
    <row r="8" spans="2:22" x14ac:dyDescent="0.25">
      <c r="B8" s="129" t="s">
        <v>45</v>
      </c>
      <c r="C8" s="5" t="s">
        <v>64</v>
      </c>
      <c r="D8" s="5"/>
      <c r="E8" s="5" t="s">
        <v>19</v>
      </c>
      <c r="F8" s="35"/>
      <c r="G8" s="35"/>
      <c r="H8" s="36"/>
      <c r="I8" s="36"/>
      <c r="J8" s="36"/>
      <c r="K8" s="36"/>
      <c r="L8" s="36">
        <v>1</v>
      </c>
      <c r="M8" s="36">
        <v>1</v>
      </c>
      <c r="N8" s="36"/>
      <c r="O8" s="36"/>
      <c r="P8" s="13"/>
      <c r="Q8" s="54">
        <f t="shared" si="0"/>
        <v>2</v>
      </c>
      <c r="R8" s="110">
        <v>0</v>
      </c>
      <c r="S8" s="48">
        <f>('Données de base'!E11/6)-('Données de base'!E21/4)</f>
        <v>1187.5</v>
      </c>
      <c r="T8" s="50">
        <f t="shared" ref="T8:T27" si="1">S8/Q8</f>
        <v>593.75</v>
      </c>
      <c r="U8" s="70">
        <v>0</v>
      </c>
      <c r="V8" s="71">
        <v>0</v>
      </c>
    </row>
    <row r="9" spans="2:22" x14ac:dyDescent="0.25">
      <c r="B9" s="130"/>
      <c r="C9" s="4" t="s">
        <v>0</v>
      </c>
      <c r="D9" s="4" t="s">
        <v>19</v>
      </c>
      <c r="E9" s="41"/>
      <c r="F9" s="37"/>
      <c r="G9" s="37" t="s">
        <v>19</v>
      </c>
      <c r="H9" s="38"/>
      <c r="I9" s="38"/>
      <c r="J9" s="38"/>
      <c r="K9" s="38">
        <v>1</v>
      </c>
      <c r="L9" s="38">
        <v>1</v>
      </c>
      <c r="M9" s="38">
        <v>1</v>
      </c>
      <c r="N9" s="38"/>
      <c r="O9" s="38"/>
      <c r="P9" s="14"/>
      <c r="Q9" s="55">
        <f t="shared" si="0"/>
        <v>3</v>
      </c>
      <c r="R9" s="111">
        <v>0</v>
      </c>
      <c r="S9" s="16">
        <f>'Données de base'!E11/6</f>
        <v>2112.5</v>
      </c>
      <c r="T9" s="23">
        <f t="shared" si="1"/>
        <v>704.16666666666663</v>
      </c>
      <c r="U9" s="72">
        <v>0</v>
      </c>
      <c r="V9" s="73">
        <v>0</v>
      </c>
    </row>
    <row r="10" spans="2:22" x14ac:dyDescent="0.25">
      <c r="B10" s="130"/>
      <c r="C10" s="4" t="s">
        <v>22</v>
      </c>
      <c r="D10" s="4"/>
      <c r="E10" s="4"/>
      <c r="F10" s="37"/>
      <c r="G10" s="37" t="s">
        <v>19</v>
      </c>
      <c r="H10" s="38"/>
      <c r="I10" s="38"/>
      <c r="J10" s="38"/>
      <c r="K10" s="38">
        <v>1</v>
      </c>
      <c r="L10" s="38"/>
      <c r="M10" s="38"/>
      <c r="N10" s="38"/>
      <c r="O10" s="38"/>
      <c r="P10" s="14"/>
      <c r="Q10" s="55">
        <f t="shared" si="0"/>
        <v>1</v>
      </c>
      <c r="R10" s="111">
        <v>0</v>
      </c>
      <c r="S10" s="16">
        <f>'Données de base'!E11/6</f>
        <v>2112.5</v>
      </c>
      <c r="T10" s="23">
        <f t="shared" si="1"/>
        <v>2112.5</v>
      </c>
      <c r="U10" s="72">
        <v>0</v>
      </c>
      <c r="V10" s="73">
        <v>0</v>
      </c>
    </row>
    <row r="11" spans="2:22" x14ac:dyDescent="0.25">
      <c r="B11" s="130"/>
      <c r="C11" s="4" t="s">
        <v>65</v>
      </c>
      <c r="D11" s="4"/>
      <c r="E11" s="4" t="s">
        <v>19</v>
      </c>
      <c r="F11" s="37"/>
      <c r="G11" s="37"/>
      <c r="H11" s="38"/>
      <c r="I11" s="38"/>
      <c r="J11" s="38"/>
      <c r="K11" s="38"/>
      <c r="L11" s="38">
        <v>1</v>
      </c>
      <c r="M11" s="38">
        <v>1</v>
      </c>
      <c r="N11" s="38"/>
      <c r="O11" s="38"/>
      <c r="P11" s="14"/>
      <c r="Q11" s="55">
        <f t="shared" si="0"/>
        <v>2</v>
      </c>
      <c r="R11" s="111">
        <v>0</v>
      </c>
      <c r="S11" s="16">
        <f>'Données de base'!E11/6-'Données de base'!E21/4</f>
        <v>1187.5</v>
      </c>
      <c r="T11" s="23">
        <f t="shared" si="1"/>
        <v>593.75</v>
      </c>
      <c r="U11" s="72">
        <v>0</v>
      </c>
      <c r="V11" s="73">
        <v>0</v>
      </c>
    </row>
    <row r="12" spans="2:22" x14ac:dyDescent="0.25">
      <c r="B12" s="130"/>
      <c r="C12" s="4" t="s">
        <v>66</v>
      </c>
      <c r="D12" s="4"/>
      <c r="E12" s="4" t="s">
        <v>19</v>
      </c>
      <c r="F12" s="37"/>
      <c r="G12" s="37"/>
      <c r="H12" s="38"/>
      <c r="I12" s="38"/>
      <c r="J12" s="38"/>
      <c r="K12" s="38"/>
      <c r="L12" s="38">
        <v>1</v>
      </c>
      <c r="M12" s="38">
        <v>1</v>
      </c>
      <c r="N12" s="38"/>
      <c r="O12" s="38"/>
      <c r="P12" s="14"/>
      <c r="Q12" s="55">
        <f t="shared" si="0"/>
        <v>2</v>
      </c>
      <c r="R12" s="111">
        <v>0</v>
      </c>
      <c r="S12" s="16">
        <f>'Données de base'!E11/6-'Données de base'!E21/4</f>
        <v>1187.5</v>
      </c>
      <c r="T12" s="23">
        <f t="shared" si="1"/>
        <v>593.75</v>
      </c>
      <c r="U12" s="72">
        <v>0</v>
      </c>
      <c r="V12" s="73">
        <v>0</v>
      </c>
    </row>
    <row r="13" spans="2:22" ht="15.75" thickBot="1" x14ac:dyDescent="0.3">
      <c r="B13" s="137"/>
      <c r="C13" s="8" t="s">
        <v>23</v>
      </c>
      <c r="D13" s="8"/>
      <c r="E13" s="8" t="s">
        <v>19</v>
      </c>
      <c r="F13" s="39"/>
      <c r="G13" s="39"/>
      <c r="H13" s="40"/>
      <c r="I13" s="40"/>
      <c r="J13" s="40"/>
      <c r="K13" s="40">
        <v>1</v>
      </c>
      <c r="L13" s="40"/>
      <c r="M13" s="40"/>
      <c r="N13" s="40"/>
      <c r="O13" s="40"/>
      <c r="P13" s="15"/>
      <c r="Q13" s="56">
        <f t="shared" si="0"/>
        <v>1</v>
      </c>
      <c r="R13" s="112">
        <v>0</v>
      </c>
      <c r="S13" s="18">
        <f>'Données de base'!E11/6</f>
        <v>2112.5</v>
      </c>
      <c r="T13" s="24">
        <f t="shared" si="1"/>
        <v>2112.5</v>
      </c>
      <c r="U13" s="104">
        <v>0</v>
      </c>
      <c r="V13" s="105">
        <v>0</v>
      </c>
    </row>
    <row r="14" spans="2:22" x14ac:dyDescent="0.25">
      <c r="B14" s="129" t="s">
        <v>44</v>
      </c>
      <c r="C14" s="5" t="s">
        <v>24</v>
      </c>
      <c r="D14" s="5"/>
      <c r="E14" s="5" t="s">
        <v>19</v>
      </c>
      <c r="F14" s="35"/>
      <c r="G14" s="35"/>
      <c r="H14" s="36"/>
      <c r="I14" s="36"/>
      <c r="J14" s="36"/>
      <c r="K14" s="36"/>
      <c r="L14" s="36"/>
      <c r="M14" s="36"/>
      <c r="N14" s="36"/>
      <c r="O14" s="36">
        <v>1</v>
      </c>
      <c r="P14" s="13"/>
      <c r="Q14" s="54">
        <f t="shared" si="0"/>
        <v>1</v>
      </c>
      <c r="R14" s="80">
        <v>0</v>
      </c>
      <c r="S14" s="48">
        <f>'Données de base'!E13/10</f>
        <v>2244.5</v>
      </c>
      <c r="T14" s="50">
        <f t="shared" si="1"/>
        <v>2244.5</v>
      </c>
      <c r="U14" s="70">
        <v>0</v>
      </c>
      <c r="V14" s="71">
        <v>0</v>
      </c>
    </row>
    <row r="15" spans="2:22" x14ac:dyDescent="0.25">
      <c r="B15" s="130"/>
      <c r="C15" s="4" t="s">
        <v>25</v>
      </c>
      <c r="D15" s="4"/>
      <c r="E15" s="4" t="s">
        <v>19</v>
      </c>
      <c r="F15" s="37"/>
      <c r="G15" s="37"/>
      <c r="H15" s="38"/>
      <c r="I15" s="38"/>
      <c r="J15" s="38"/>
      <c r="K15" s="38"/>
      <c r="L15" s="38"/>
      <c r="M15" s="38"/>
      <c r="N15" s="38"/>
      <c r="O15" s="38">
        <v>1</v>
      </c>
      <c r="P15" s="14"/>
      <c r="Q15" s="55">
        <f t="shared" si="0"/>
        <v>1</v>
      </c>
      <c r="R15" s="79">
        <v>0</v>
      </c>
      <c r="S15" s="16">
        <f>'Données de base'!E13/10</f>
        <v>2244.5</v>
      </c>
      <c r="T15" s="23">
        <f t="shared" si="1"/>
        <v>2244.5</v>
      </c>
      <c r="U15" s="72">
        <v>0</v>
      </c>
      <c r="V15" s="73">
        <v>0</v>
      </c>
    </row>
    <row r="16" spans="2:22" x14ac:dyDescent="0.25">
      <c r="B16" s="130"/>
      <c r="C16" s="4" t="s">
        <v>1</v>
      </c>
      <c r="D16" s="4"/>
      <c r="E16" s="4" t="s">
        <v>19</v>
      </c>
      <c r="F16" s="37" t="s">
        <v>19</v>
      </c>
      <c r="G16" s="37" t="s">
        <v>19</v>
      </c>
      <c r="H16" s="38">
        <v>1</v>
      </c>
      <c r="I16" s="38">
        <v>1</v>
      </c>
      <c r="J16" s="38">
        <v>1</v>
      </c>
      <c r="K16" s="38"/>
      <c r="L16" s="38"/>
      <c r="M16" s="38"/>
      <c r="N16" s="38"/>
      <c r="O16" s="38"/>
      <c r="P16" s="14"/>
      <c r="Q16" s="55">
        <f t="shared" si="0"/>
        <v>3</v>
      </c>
      <c r="R16" s="57">
        <f>J16</f>
        <v>1</v>
      </c>
      <c r="S16" s="16">
        <f>'Données de base'!E13/10</f>
        <v>2244.5</v>
      </c>
      <c r="T16" s="23">
        <f t="shared" si="1"/>
        <v>748.16666666666663</v>
      </c>
      <c r="U16" s="17">
        <f>'Données de base'!F13/5</f>
        <v>2106</v>
      </c>
      <c r="V16" s="25">
        <f>U16/R16</f>
        <v>2106</v>
      </c>
    </row>
    <row r="17" spans="2:22" x14ac:dyDescent="0.25">
      <c r="B17" s="130"/>
      <c r="C17" s="4" t="s">
        <v>26</v>
      </c>
      <c r="D17" s="4"/>
      <c r="E17" s="4" t="s">
        <v>19</v>
      </c>
      <c r="F17" s="37" t="s">
        <v>19</v>
      </c>
      <c r="G17" s="37"/>
      <c r="H17" s="38"/>
      <c r="I17" s="38"/>
      <c r="J17" s="38">
        <v>1</v>
      </c>
      <c r="K17" s="38"/>
      <c r="L17" s="38"/>
      <c r="M17" s="38"/>
      <c r="N17" s="38"/>
      <c r="O17" s="38"/>
      <c r="P17" s="14"/>
      <c r="Q17" s="55">
        <f t="shared" si="0"/>
        <v>1</v>
      </c>
      <c r="R17" s="57">
        <f>J17</f>
        <v>1</v>
      </c>
      <c r="S17" s="16">
        <f>'Données de base'!E13/10</f>
        <v>2244.5</v>
      </c>
      <c r="T17" s="23">
        <f t="shared" si="1"/>
        <v>2244.5</v>
      </c>
      <c r="U17" s="17">
        <f>'Données de base'!F13/5</f>
        <v>2106</v>
      </c>
      <c r="V17" s="25">
        <f>U17/R17</f>
        <v>2106</v>
      </c>
    </row>
    <row r="18" spans="2:22" x14ac:dyDescent="0.25">
      <c r="B18" s="130"/>
      <c r="C18" s="4" t="s">
        <v>27</v>
      </c>
      <c r="D18" s="4"/>
      <c r="E18" s="4" t="s">
        <v>19</v>
      </c>
      <c r="F18" s="37"/>
      <c r="G18" s="37"/>
      <c r="H18" s="38"/>
      <c r="I18" s="38"/>
      <c r="J18" s="38"/>
      <c r="K18" s="38"/>
      <c r="L18" s="38"/>
      <c r="M18" s="38"/>
      <c r="N18" s="38"/>
      <c r="O18" s="38">
        <v>1</v>
      </c>
      <c r="P18" s="14"/>
      <c r="Q18" s="55">
        <f t="shared" si="0"/>
        <v>1</v>
      </c>
      <c r="R18" s="79">
        <v>0</v>
      </c>
      <c r="S18" s="16">
        <f>'Données de base'!E13/10</f>
        <v>2244.5</v>
      </c>
      <c r="T18" s="23">
        <f t="shared" si="1"/>
        <v>2244.5</v>
      </c>
      <c r="U18" s="72">
        <v>0</v>
      </c>
      <c r="V18" s="73">
        <v>0</v>
      </c>
    </row>
    <row r="19" spans="2:22" x14ac:dyDescent="0.25">
      <c r="B19" s="130"/>
      <c r="C19" s="4" t="s">
        <v>28</v>
      </c>
      <c r="D19" s="4"/>
      <c r="E19" s="4" t="s">
        <v>19</v>
      </c>
      <c r="F19" s="37"/>
      <c r="G19" s="37"/>
      <c r="H19" s="38"/>
      <c r="I19" s="38"/>
      <c r="J19" s="38"/>
      <c r="K19" s="38"/>
      <c r="L19" s="38"/>
      <c r="M19" s="38"/>
      <c r="N19" s="38"/>
      <c r="O19" s="38">
        <v>1</v>
      </c>
      <c r="P19" s="14"/>
      <c r="Q19" s="55">
        <f t="shared" si="0"/>
        <v>1</v>
      </c>
      <c r="R19" s="79">
        <v>0</v>
      </c>
      <c r="S19" s="16">
        <f>'Données de base'!E13/10</f>
        <v>2244.5</v>
      </c>
      <c r="T19" s="23">
        <f t="shared" si="1"/>
        <v>2244.5</v>
      </c>
      <c r="U19" s="72">
        <v>0</v>
      </c>
      <c r="V19" s="73">
        <v>0</v>
      </c>
    </row>
    <row r="20" spans="2:22" x14ac:dyDescent="0.25">
      <c r="B20" s="130"/>
      <c r="C20" s="4" t="s">
        <v>29</v>
      </c>
      <c r="D20" s="4"/>
      <c r="E20" s="4" t="s">
        <v>19</v>
      </c>
      <c r="F20" s="37" t="s">
        <v>19</v>
      </c>
      <c r="G20" s="37" t="s">
        <v>19</v>
      </c>
      <c r="H20" s="38">
        <v>1</v>
      </c>
      <c r="I20" s="38">
        <v>1</v>
      </c>
      <c r="J20" s="38">
        <v>1</v>
      </c>
      <c r="K20" s="38"/>
      <c r="L20" s="38"/>
      <c r="M20" s="38"/>
      <c r="N20" s="38"/>
      <c r="O20" s="38">
        <v>1</v>
      </c>
      <c r="P20" s="14"/>
      <c r="Q20" s="55">
        <f t="shared" si="0"/>
        <v>4</v>
      </c>
      <c r="R20" s="57">
        <f>J20</f>
        <v>1</v>
      </c>
      <c r="S20" s="16">
        <f>'Données de base'!E13/10</f>
        <v>2244.5</v>
      </c>
      <c r="T20" s="23">
        <f t="shared" si="1"/>
        <v>561.125</v>
      </c>
      <c r="U20" s="17">
        <f>'Données de base'!F13/5</f>
        <v>2106</v>
      </c>
      <c r="V20" s="25">
        <f>U20/R20</f>
        <v>2106</v>
      </c>
    </row>
    <row r="21" spans="2:22" x14ac:dyDescent="0.25">
      <c r="B21" s="130"/>
      <c r="C21" s="4" t="s">
        <v>2</v>
      </c>
      <c r="D21" s="4"/>
      <c r="E21" s="4" t="s">
        <v>19</v>
      </c>
      <c r="F21" s="37"/>
      <c r="G21" s="37"/>
      <c r="H21" s="38"/>
      <c r="I21" s="38"/>
      <c r="J21" s="38"/>
      <c r="K21" s="38"/>
      <c r="L21" s="38"/>
      <c r="M21" s="38"/>
      <c r="N21" s="38"/>
      <c r="O21" s="38">
        <v>1</v>
      </c>
      <c r="P21" s="14"/>
      <c r="Q21" s="55">
        <f t="shared" si="0"/>
        <v>1</v>
      </c>
      <c r="R21" s="79">
        <v>0</v>
      </c>
      <c r="S21" s="16">
        <f>'Données de base'!E13/10</f>
        <v>2244.5</v>
      </c>
      <c r="T21" s="23">
        <f t="shared" si="1"/>
        <v>2244.5</v>
      </c>
      <c r="U21" s="72">
        <v>0</v>
      </c>
      <c r="V21" s="73">
        <v>0</v>
      </c>
    </row>
    <row r="22" spans="2:22" x14ac:dyDescent="0.25">
      <c r="B22" s="130"/>
      <c r="C22" s="4" t="s">
        <v>30</v>
      </c>
      <c r="D22" s="4" t="s">
        <v>19</v>
      </c>
      <c r="E22" s="4" t="s">
        <v>59</v>
      </c>
      <c r="F22" s="41"/>
      <c r="G22" s="4" t="s">
        <v>59</v>
      </c>
      <c r="H22" s="38">
        <v>1</v>
      </c>
      <c r="I22" s="38">
        <v>1</v>
      </c>
      <c r="J22" s="38">
        <v>1</v>
      </c>
      <c r="K22" s="38"/>
      <c r="L22" s="38"/>
      <c r="M22" s="38"/>
      <c r="N22" s="38"/>
      <c r="O22" s="38">
        <v>1</v>
      </c>
      <c r="P22" s="14"/>
      <c r="Q22" s="55">
        <f t="shared" si="0"/>
        <v>4</v>
      </c>
      <c r="R22" s="57">
        <f>J22</f>
        <v>1</v>
      </c>
      <c r="S22" s="16">
        <f>'Données de base'!E13/10</f>
        <v>2244.5</v>
      </c>
      <c r="T22" s="23">
        <f t="shared" si="1"/>
        <v>561.125</v>
      </c>
      <c r="U22" s="17">
        <f>'Données de base'!F13/5</f>
        <v>2106</v>
      </c>
      <c r="V22" s="25">
        <f t="shared" ref="V22:V27" si="2">U22/R22</f>
        <v>2106</v>
      </c>
    </row>
    <row r="23" spans="2:22" ht="15.75" thickBot="1" x14ac:dyDescent="0.3">
      <c r="B23" s="137"/>
      <c r="C23" s="8" t="s">
        <v>31</v>
      </c>
      <c r="D23" s="8" t="s">
        <v>32</v>
      </c>
      <c r="E23" s="10" t="s">
        <v>19</v>
      </c>
      <c r="F23" s="10" t="s">
        <v>19</v>
      </c>
      <c r="G23" s="10" t="s">
        <v>19</v>
      </c>
      <c r="H23" s="40">
        <v>1</v>
      </c>
      <c r="I23" s="40">
        <v>1</v>
      </c>
      <c r="J23" s="40">
        <v>1</v>
      </c>
      <c r="K23" s="40"/>
      <c r="L23" s="40"/>
      <c r="M23" s="40"/>
      <c r="N23" s="40"/>
      <c r="O23" s="40"/>
      <c r="P23" s="15"/>
      <c r="Q23" s="56">
        <f t="shared" si="0"/>
        <v>3</v>
      </c>
      <c r="R23" s="58">
        <f>J23</f>
        <v>1</v>
      </c>
      <c r="S23" s="18">
        <f>'Données de base'!E13/10</f>
        <v>2244.5</v>
      </c>
      <c r="T23" s="24">
        <f t="shared" si="1"/>
        <v>748.16666666666663</v>
      </c>
      <c r="U23" s="51">
        <f>'Données de base'!F13/5</f>
        <v>2106</v>
      </c>
      <c r="V23" s="103">
        <f t="shared" si="2"/>
        <v>2106</v>
      </c>
    </row>
    <row r="24" spans="2:22" x14ac:dyDescent="0.25">
      <c r="B24" s="129" t="s">
        <v>33</v>
      </c>
      <c r="C24" s="5" t="s">
        <v>34</v>
      </c>
      <c r="D24" s="5"/>
      <c r="E24" s="5" t="s">
        <v>19</v>
      </c>
      <c r="F24" s="35" t="s">
        <v>19</v>
      </c>
      <c r="G24" s="35"/>
      <c r="H24" s="36"/>
      <c r="I24" s="36"/>
      <c r="J24" s="36"/>
      <c r="K24" s="36"/>
      <c r="L24" s="36"/>
      <c r="M24" s="36"/>
      <c r="N24" s="36">
        <v>1</v>
      </c>
      <c r="O24" s="36"/>
      <c r="P24" s="13"/>
      <c r="Q24" s="54">
        <f t="shared" si="0"/>
        <v>1</v>
      </c>
      <c r="R24" s="59">
        <f>SUM(H24:P24)</f>
        <v>1</v>
      </c>
      <c r="S24" s="42">
        <f>'Données de base'!E17/4</f>
        <v>1872.5</v>
      </c>
      <c r="T24" s="43">
        <f t="shared" si="1"/>
        <v>1872.5</v>
      </c>
      <c r="U24" s="46">
        <f>'Données de base'!F17/4</f>
        <v>2632.5</v>
      </c>
      <c r="V24" s="47">
        <f t="shared" si="2"/>
        <v>2632.5</v>
      </c>
    </row>
    <row r="25" spans="2:22" x14ac:dyDescent="0.25">
      <c r="B25" s="130"/>
      <c r="C25" s="4" t="s">
        <v>35</v>
      </c>
      <c r="D25" s="4"/>
      <c r="E25" s="4" t="s">
        <v>19</v>
      </c>
      <c r="F25" s="37" t="s">
        <v>19</v>
      </c>
      <c r="G25" s="37"/>
      <c r="H25" s="38"/>
      <c r="I25" s="38"/>
      <c r="J25" s="38"/>
      <c r="K25" s="38"/>
      <c r="L25" s="38"/>
      <c r="M25" s="38"/>
      <c r="N25" s="38">
        <v>1</v>
      </c>
      <c r="O25" s="38"/>
      <c r="P25" s="14"/>
      <c r="Q25" s="55">
        <f t="shared" si="0"/>
        <v>1</v>
      </c>
      <c r="R25" s="57">
        <f>SUM(H25:P25)</f>
        <v>1</v>
      </c>
      <c r="S25" s="16">
        <f>'Données de base'!E17/4</f>
        <v>1872.5</v>
      </c>
      <c r="T25" s="23">
        <f t="shared" si="1"/>
        <v>1872.5</v>
      </c>
      <c r="U25" s="17">
        <f>'Données de base'!F17/4</f>
        <v>2632.5</v>
      </c>
      <c r="V25" s="25">
        <f t="shared" si="2"/>
        <v>2632.5</v>
      </c>
    </row>
    <row r="26" spans="2:22" x14ac:dyDescent="0.25">
      <c r="B26" s="130"/>
      <c r="C26" s="4" t="s">
        <v>36</v>
      </c>
      <c r="D26" s="4" t="s">
        <v>19</v>
      </c>
      <c r="E26" s="4" t="s">
        <v>60</v>
      </c>
      <c r="F26" s="4" t="s">
        <v>59</v>
      </c>
      <c r="G26" s="4" t="s">
        <v>60</v>
      </c>
      <c r="H26" s="38"/>
      <c r="I26" s="38"/>
      <c r="J26" s="38"/>
      <c r="K26" s="38"/>
      <c r="L26" s="38"/>
      <c r="M26" s="38"/>
      <c r="N26" s="38">
        <v>1</v>
      </c>
      <c r="O26" s="38"/>
      <c r="P26" s="14"/>
      <c r="Q26" s="55">
        <f t="shared" si="0"/>
        <v>1</v>
      </c>
      <c r="R26" s="57">
        <f>SUM(H26:P26)</f>
        <v>1</v>
      </c>
      <c r="S26" s="16">
        <f>'Données de base'!E17/4</f>
        <v>1872.5</v>
      </c>
      <c r="T26" s="23">
        <f t="shared" si="1"/>
        <v>1872.5</v>
      </c>
      <c r="U26" s="17">
        <f>'Données de base'!F17/4</f>
        <v>2632.5</v>
      </c>
      <c r="V26" s="25">
        <f t="shared" si="2"/>
        <v>2632.5</v>
      </c>
    </row>
    <row r="27" spans="2:22" ht="15.75" thickBot="1" x14ac:dyDescent="0.3">
      <c r="B27" s="137"/>
      <c r="C27" s="8" t="s">
        <v>37</v>
      </c>
      <c r="D27" s="8" t="s">
        <v>32</v>
      </c>
      <c r="E27" s="10" t="s">
        <v>19</v>
      </c>
      <c r="F27" s="113" t="s">
        <v>19</v>
      </c>
      <c r="G27" s="39"/>
      <c r="H27" s="40"/>
      <c r="I27" s="40"/>
      <c r="J27" s="40"/>
      <c r="K27" s="40"/>
      <c r="L27" s="40"/>
      <c r="M27" s="40"/>
      <c r="N27" s="40">
        <v>1</v>
      </c>
      <c r="O27" s="40"/>
      <c r="P27" s="15"/>
      <c r="Q27" s="56">
        <f t="shared" si="0"/>
        <v>1</v>
      </c>
      <c r="R27" s="58">
        <f>SUM(H27:P27)</f>
        <v>1</v>
      </c>
      <c r="S27" s="44">
        <f>'Données de base'!E17/4</f>
        <v>1872.5</v>
      </c>
      <c r="T27" s="45">
        <f t="shared" si="1"/>
        <v>1872.5</v>
      </c>
      <c r="U27" s="52">
        <f>'Données de base'!F17/4</f>
        <v>2632.5</v>
      </c>
      <c r="V27" s="53">
        <f t="shared" si="2"/>
        <v>2632.5</v>
      </c>
    </row>
    <row r="28" spans="2:22" ht="25.5" x14ac:dyDescent="0.25">
      <c r="B28" s="129" t="s">
        <v>38</v>
      </c>
      <c r="C28" s="5" t="s">
        <v>39</v>
      </c>
      <c r="D28" s="5"/>
      <c r="E28" s="5" t="s">
        <v>19</v>
      </c>
      <c r="F28" s="35"/>
      <c r="G28" s="35"/>
      <c r="H28" s="36"/>
      <c r="I28" s="36"/>
      <c r="J28" s="36"/>
      <c r="K28" s="36"/>
      <c r="L28" s="36"/>
      <c r="M28" s="36"/>
      <c r="N28" s="36"/>
      <c r="O28" s="36"/>
      <c r="P28" s="6">
        <v>1</v>
      </c>
      <c r="Q28" s="49">
        <f t="shared" si="0"/>
        <v>1</v>
      </c>
      <c r="R28" s="76">
        <v>0</v>
      </c>
      <c r="S28" s="48">
        <f>'Données de base'!E15/2</f>
        <v>1872.5</v>
      </c>
      <c r="T28" s="50">
        <f>S28/Q28</f>
        <v>1872.5</v>
      </c>
      <c r="U28" s="70">
        <v>0</v>
      </c>
      <c r="V28" s="71">
        <v>0</v>
      </c>
    </row>
    <row r="29" spans="2:22" x14ac:dyDescent="0.25">
      <c r="B29" s="130"/>
      <c r="C29" s="4" t="s">
        <v>67</v>
      </c>
      <c r="D29" s="4"/>
      <c r="E29" s="4" t="s">
        <v>19</v>
      </c>
      <c r="F29" s="4"/>
      <c r="G29" s="4"/>
      <c r="H29" s="2"/>
      <c r="I29" s="2"/>
      <c r="J29" s="2"/>
      <c r="K29" s="2"/>
      <c r="L29" s="2"/>
      <c r="M29" s="2"/>
      <c r="N29" s="2"/>
      <c r="O29" s="2"/>
      <c r="P29" s="7">
        <v>1</v>
      </c>
      <c r="Q29" s="19">
        <f t="shared" si="0"/>
        <v>1</v>
      </c>
      <c r="R29" s="77">
        <v>0</v>
      </c>
      <c r="S29" s="16">
        <f>'Données de base'!E15/2-'Données de base'!E21/4</f>
        <v>947.5</v>
      </c>
      <c r="T29" s="23">
        <f>S29/Q29</f>
        <v>947.5</v>
      </c>
      <c r="U29" s="72">
        <v>0</v>
      </c>
      <c r="V29" s="73">
        <v>0</v>
      </c>
    </row>
    <row r="30" spans="2:22" ht="15.75" thickBot="1" x14ac:dyDescent="0.3">
      <c r="B30" s="131"/>
      <c r="C30" s="62" t="s">
        <v>40</v>
      </c>
      <c r="D30" s="62" t="s">
        <v>19</v>
      </c>
      <c r="E30" s="63"/>
      <c r="F30" s="62"/>
      <c r="G30" s="62"/>
      <c r="H30" s="64"/>
      <c r="I30" s="64"/>
      <c r="J30" s="64"/>
      <c r="K30" s="64"/>
      <c r="L30" s="64"/>
      <c r="M30" s="64"/>
      <c r="N30" s="64"/>
      <c r="O30" s="64"/>
      <c r="P30" s="65">
        <v>1</v>
      </c>
      <c r="Q30" s="66">
        <v>0</v>
      </c>
      <c r="R30" s="78">
        <v>0</v>
      </c>
      <c r="S30" s="44">
        <v>0</v>
      </c>
      <c r="T30" s="45">
        <v>0</v>
      </c>
      <c r="U30" s="74">
        <v>0</v>
      </c>
      <c r="V30" s="75">
        <v>0</v>
      </c>
    </row>
    <row r="31" spans="2:22" ht="15.75" thickBot="1" x14ac:dyDescent="0.3">
      <c r="B31" s="81" t="s">
        <v>55</v>
      </c>
      <c r="C31" s="82" t="s">
        <v>63</v>
      </c>
      <c r="D31" s="82"/>
      <c r="E31" s="83"/>
      <c r="F31" s="82"/>
      <c r="G31" s="82"/>
      <c r="H31" s="84">
        <v>1</v>
      </c>
      <c r="I31" s="84">
        <v>1</v>
      </c>
      <c r="J31" s="84">
        <v>1</v>
      </c>
      <c r="K31" s="84">
        <v>1</v>
      </c>
      <c r="L31" s="84">
        <v>1</v>
      </c>
      <c r="M31" s="84">
        <v>1</v>
      </c>
      <c r="N31" s="84">
        <v>1</v>
      </c>
      <c r="O31" s="84">
        <v>1</v>
      </c>
      <c r="P31" s="85">
        <v>1</v>
      </c>
      <c r="Q31" s="86">
        <f t="shared" si="0"/>
        <v>9</v>
      </c>
      <c r="R31" s="87"/>
      <c r="S31" s="125">
        <f>'Données de base'!E20/Q31</f>
        <v>2824.4444444444443</v>
      </c>
      <c r="T31" s="126"/>
      <c r="U31" s="126"/>
      <c r="V31" s="127"/>
    </row>
    <row r="32" spans="2:22" ht="15.75" thickBot="1" x14ac:dyDescent="0.3">
      <c r="B32" s="88"/>
      <c r="C32" s="88" t="s">
        <v>68</v>
      </c>
      <c r="D32" s="27"/>
      <c r="E32" s="67" t="s">
        <v>61</v>
      </c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9"/>
      <c r="R32" s="32"/>
      <c r="S32" s="28"/>
      <c r="T32" s="30"/>
      <c r="U32" s="31"/>
      <c r="V32" s="33"/>
    </row>
    <row r="33" spans="1:22" x14ac:dyDescent="0.25">
      <c r="A33" s="1"/>
      <c r="B33" s="128" t="s">
        <v>73</v>
      </c>
      <c r="C33" s="128"/>
      <c r="D33" s="128"/>
      <c r="E33" s="128"/>
      <c r="F33" s="128"/>
      <c r="G33" s="128"/>
      <c r="H33" s="68">
        <f>T7+T16+T20+T22+T23+S31</f>
        <v>5812.0902777777774</v>
      </c>
      <c r="I33" s="68">
        <f>T7+T16+T20+T22+T23+S31</f>
        <v>5812.0902777777774</v>
      </c>
      <c r="J33" s="68">
        <f>T7+V7+T16+V16+T17+V17+T20+V20+T22+V22+T23+V23+S31</f>
        <v>19902.840277777777</v>
      </c>
      <c r="K33" s="68">
        <f>T7+T9+T10+T13+S31</f>
        <v>8122.6736111111104</v>
      </c>
      <c r="L33" s="68">
        <f>T7+T8+T9+T11+T12+S31</f>
        <v>5678.9236111111113</v>
      </c>
      <c r="M33" s="68">
        <f>T7+T8+T9+T11+T12+S31</f>
        <v>5678.9236111111113</v>
      </c>
      <c r="N33" s="68">
        <f>T7+V7+T24+T25+T26+T27+V24+V25+V26+V27+S31</f>
        <v>22529.756944444445</v>
      </c>
      <c r="O33" s="68">
        <f>T7+T14+T15+T18+T19+T20+T21+T22+S31</f>
        <v>15538.256944444445</v>
      </c>
      <c r="P33" s="69">
        <f>T28+T29+T30+S31</f>
        <v>5644.4444444444443</v>
      </c>
      <c r="Q33" s="26"/>
      <c r="S33" s="26"/>
      <c r="T33" s="26"/>
      <c r="U33" s="26"/>
      <c r="V33" s="26"/>
    </row>
    <row r="34" spans="1:22" x14ac:dyDescent="0.25">
      <c r="A34" s="89"/>
      <c r="H34" s="90"/>
      <c r="I34" s="90"/>
      <c r="J34" s="90"/>
      <c r="K34" s="90"/>
      <c r="L34" s="90"/>
      <c r="M34" s="90"/>
      <c r="N34" s="90"/>
      <c r="O34" s="90"/>
      <c r="P34" s="90"/>
      <c r="Q34" s="91"/>
    </row>
  </sheetData>
  <mergeCells count="30">
    <mergeCell ref="E4:G4"/>
    <mergeCell ref="E5:E6"/>
    <mergeCell ref="F5:F6"/>
    <mergeCell ref="P4:P6"/>
    <mergeCell ref="S4:S6"/>
    <mergeCell ref="Q4:Q6"/>
    <mergeCell ref="N4:N6"/>
    <mergeCell ref="O4:O6"/>
    <mergeCell ref="S31:V31"/>
    <mergeCell ref="B33:G33"/>
    <mergeCell ref="B28:B30"/>
    <mergeCell ref="H4:H6"/>
    <mergeCell ref="I4:I6"/>
    <mergeCell ref="J4:J6"/>
    <mergeCell ref="G5:G6"/>
    <mergeCell ref="B8:B13"/>
    <mergeCell ref="B14:B23"/>
    <mergeCell ref="B24:B27"/>
    <mergeCell ref="B4:B6"/>
    <mergeCell ref="C4:C6"/>
    <mergeCell ref="D4:D6"/>
    <mergeCell ref="K4:K6"/>
    <mergeCell ref="L4:L6"/>
    <mergeCell ref="M4:M6"/>
    <mergeCell ref="Q3:R3"/>
    <mergeCell ref="S3:V3"/>
    <mergeCell ref="V4:V6"/>
    <mergeCell ref="T4:T6"/>
    <mergeCell ref="U4:U6"/>
    <mergeCell ref="R4:R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H23"/>
  <sheetViews>
    <sheetView workbookViewId="0">
      <selection activeCell="K27" sqref="K27"/>
    </sheetView>
  </sheetViews>
  <sheetFormatPr baseColWidth="10" defaultRowHeight="15" x14ac:dyDescent="0.25"/>
  <cols>
    <col min="1" max="1" width="2.7109375" style="93" customWidth="1"/>
    <col min="2" max="2" width="51.140625" style="93" customWidth="1"/>
    <col min="3" max="4" width="14.28515625" style="93" customWidth="1"/>
    <col min="5" max="6" width="16.140625" style="94" customWidth="1"/>
    <col min="7" max="16384" width="11.42578125" style="93"/>
  </cols>
  <sheetData>
    <row r="7" spans="2:8" x14ac:dyDescent="0.25">
      <c r="B7" s="92" t="s">
        <v>75</v>
      </c>
      <c r="E7" s="149" t="s">
        <v>54</v>
      </c>
      <c r="F7" s="149"/>
    </row>
    <row r="8" spans="2:8" s="3" customFormat="1" ht="37.5" customHeight="1" x14ac:dyDescent="0.25">
      <c r="B8" s="20"/>
      <c r="C8" s="20" t="s">
        <v>56</v>
      </c>
      <c r="D8" s="20" t="s">
        <v>56</v>
      </c>
      <c r="E8" s="21" t="s">
        <v>70</v>
      </c>
      <c r="F8" s="21" t="s">
        <v>69</v>
      </c>
    </row>
    <row r="9" spans="2:8" x14ac:dyDescent="0.25">
      <c r="B9" s="95" t="s">
        <v>41</v>
      </c>
      <c r="C9" s="96">
        <v>1</v>
      </c>
      <c r="D9" s="96">
        <v>1</v>
      </c>
      <c r="E9" s="97">
        <f>(50+220)*8+C9*E19/C19</f>
        <v>2952.5</v>
      </c>
      <c r="F9" s="97">
        <f>(50+180)*8+D9*E19/C19</f>
        <v>2632.5</v>
      </c>
      <c r="G9" s="98"/>
    </row>
    <row r="10" spans="2:8" ht="3.75" customHeight="1" x14ac:dyDescent="0.25">
      <c r="B10" s="95"/>
      <c r="C10" s="96"/>
      <c r="D10" s="96"/>
      <c r="E10" s="97"/>
      <c r="F10" s="97"/>
    </row>
    <row r="11" spans="2:8" x14ac:dyDescent="0.25">
      <c r="B11" s="95" t="s">
        <v>42</v>
      </c>
      <c r="C11" s="96">
        <v>6</v>
      </c>
      <c r="D11" s="99"/>
      <c r="E11" s="97">
        <f>(6*50+3*85+3*145)*8+C11*E19/C19</f>
        <v>12675</v>
      </c>
      <c r="F11" s="100">
        <v>0</v>
      </c>
      <c r="G11" s="98"/>
      <c r="H11" s="98"/>
    </row>
    <row r="12" spans="2:8" ht="4.5" customHeight="1" x14ac:dyDescent="0.25">
      <c r="B12" s="95"/>
      <c r="C12" s="96"/>
      <c r="D12" s="96"/>
      <c r="E12" s="97"/>
      <c r="F12" s="97"/>
    </row>
    <row r="13" spans="2:8" x14ac:dyDescent="0.25">
      <c r="B13" s="95" t="s">
        <v>57</v>
      </c>
      <c r="C13" s="96">
        <v>10</v>
      </c>
      <c r="D13" s="96">
        <v>4</v>
      </c>
      <c r="E13" s="97">
        <f>(50*10+6*85+3*220+1*145)*8+C13*E19/C19</f>
        <v>22445</v>
      </c>
      <c r="F13" s="97">
        <f>(4*50+4*180)*8+D13*E19/C19</f>
        <v>10530</v>
      </c>
      <c r="G13" s="98"/>
    </row>
    <row r="14" spans="2:8" ht="4.5" customHeight="1" x14ac:dyDescent="0.25">
      <c r="B14" s="95"/>
      <c r="C14" s="96"/>
      <c r="D14" s="96"/>
      <c r="E14" s="97"/>
      <c r="F14" s="97"/>
    </row>
    <row r="15" spans="2:8" x14ac:dyDescent="0.25">
      <c r="B15" s="95" t="s">
        <v>58</v>
      </c>
      <c r="C15" s="96">
        <v>2</v>
      </c>
      <c r="D15" s="99"/>
      <c r="E15" s="97">
        <f>(2*50+2*85)*8+C15*E19/C19</f>
        <v>3745</v>
      </c>
      <c r="F15" s="100">
        <v>0</v>
      </c>
      <c r="G15" s="98"/>
      <c r="H15" s="98"/>
    </row>
    <row r="16" spans="2:8" ht="4.5" customHeight="1" x14ac:dyDescent="0.25">
      <c r="B16" s="95"/>
      <c r="C16" s="96"/>
      <c r="D16" s="96"/>
      <c r="E16" s="97"/>
      <c r="F16" s="97"/>
    </row>
    <row r="17" spans="2:8" x14ac:dyDescent="0.25">
      <c r="B17" s="95" t="s">
        <v>43</v>
      </c>
      <c r="C17" s="96">
        <v>4</v>
      </c>
      <c r="D17" s="96">
        <v>4</v>
      </c>
      <c r="E17" s="97">
        <f>(4*50+4*85)*8+C17*E19/C19</f>
        <v>7490</v>
      </c>
      <c r="F17" s="97">
        <f>(4*50+4*180)*8+D17*E19/C19</f>
        <v>10530</v>
      </c>
      <c r="G17" s="98"/>
      <c r="H17" s="98"/>
    </row>
    <row r="18" spans="2:8" ht="4.5" customHeight="1" x14ac:dyDescent="0.25">
      <c r="E18" s="101"/>
      <c r="F18" s="101"/>
    </row>
    <row r="19" spans="2:8" ht="15.75" customHeight="1" x14ac:dyDescent="0.25">
      <c r="B19" s="95" t="s">
        <v>71</v>
      </c>
      <c r="C19" s="154">
        <f>SUM(C9:C17)+SUM(D9:D17)</f>
        <v>32</v>
      </c>
      <c r="D19" s="155"/>
      <c r="E19" s="156">
        <f>2250*8+920*8</f>
        <v>25360</v>
      </c>
      <c r="F19" s="157"/>
    </row>
    <row r="20" spans="2:8" x14ac:dyDescent="0.25">
      <c r="B20" s="95" t="s">
        <v>62</v>
      </c>
      <c r="C20" s="154">
        <v>9</v>
      </c>
      <c r="D20" s="155"/>
      <c r="E20" s="158">
        <f>1760*8+980*8+3500</f>
        <v>25420</v>
      </c>
      <c r="F20" s="158"/>
      <c r="G20" s="98"/>
    </row>
    <row r="21" spans="2:8" ht="45.75" customHeight="1" x14ac:dyDescent="0.25">
      <c r="B21" s="159" t="s">
        <v>74</v>
      </c>
      <c r="C21" s="160"/>
      <c r="D21" s="161"/>
      <c r="E21" s="102">
        <v>3700</v>
      </c>
    </row>
    <row r="22" spans="2:8" ht="4.5" customHeight="1" x14ac:dyDescent="0.25"/>
    <row r="23" spans="2:8" x14ac:dyDescent="0.25">
      <c r="B23" s="151" t="s">
        <v>72</v>
      </c>
      <c r="C23" s="152"/>
      <c r="D23" s="153"/>
      <c r="E23" s="150">
        <f>SUM(E9:E17,F9:F18)+E20-E21</f>
        <v>94720</v>
      </c>
      <c r="F23" s="150"/>
    </row>
  </sheetData>
  <mergeCells count="8">
    <mergeCell ref="E7:F7"/>
    <mergeCell ref="E23:F23"/>
    <mergeCell ref="B23:D23"/>
    <mergeCell ref="C19:D19"/>
    <mergeCell ref="C20:D20"/>
    <mergeCell ref="E19:F19"/>
    <mergeCell ref="E20:F20"/>
    <mergeCell ref="B21:D21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Répartition des couts</vt:lpstr>
      <vt:lpstr>Données de base</vt:lpstr>
      <vt:lpstr>'Données de base'!Zone_d_impression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Chloe MENARD</dc:creator>
  <cp:lastModifiedBy>Chloe MENARD</cp:lastModifiedBy>
  <cp:lastPrinted>2019-07-30T14:55:22Z</cp:lastPrinted>
  <dcterms:created xsi:type="dcterms:W3CDTF">2019-07-29T12:23:54Z</dcterms:created>
  <dcterms:modified xsi:type="dcterms:W3CDTF">2019-10-11T12:56:36Z</dcterms:modified>
</cp:coreProperties>
</file>